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13_ncr:1_{60F9A075-32A0-4111-9F59-86A59C0B4B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4" i="1"/>
  <c r="M12" i="1"/>
  <c r="M25" i="1" l="1"/>
  <c r="M26" i="1"/>
  <c r="M27" i="1"/>
  <c r="M28" i="1"/>
  <c r="M29" i="1"/>
  <c r="M30" i="1"/>
  <c r="M31" i="1"/>
  <c r="M32" i="1"/>
  <c r="M33" i="1"/>
  <c r="M34" i="1"/>
  <c r="M15" i="1"/>
  <c r="M16" i="1"/>
  <c r="M17" i="1"/>
  <c r="M18" i="1"/>
  <c r="M19" i="1"/>
  <c r="M20" i="1"/>
  <c r="M21" i="1"/>
  <c r="M22" i="1"/>
  <c r="M23" i="1"/>
  <c r="M24" i="1"/>
  <c r="M14" i="1"/>
  <c r="L4" i="1"/>
  <c r="M4" i="1"/>
  <c r="M5" i="1"/>
  <c r="M6" i="1"/>
  <c r="M7" i="1"/>
  <c r="M8" i="1"/>
  <c r="M9" i="1"/>
  <c r="M10" i="1"/>
  <c r="M13" i="1"/>
  <c r="G3" i="1"/>
  <c r="O4" i="1" s="1"/>
  <c r="G4" i="1"/>
  <c r="G5" i="1" s="1"/>
  <c r="G6" i="1"/>
  <c r="C32" i="1"/>
  <c r="C10" i="1" s="1"/>
  <c r="D26" i="1"/>
  <c r="D24" i="1"/>
  <c r="D23" i="1"/>
  <c r="D22" i="1"/>
  <c r="D21" i="1"/>
  <c r="N4" i="1" l="1"/>
  <c r="L5" i="1" s="1"/>
  <c r="C11" i="1"/>
  <c r="T4" i="1"/>
  <c r="P4" i="1"/>
  <c r="G7" i="1"/>
  <c r="G8" i="1" s="1"/>
  <c r="C25" i="1"/>
  <c r="C27" i="1"/>
  <c r="D27" i="1" s="1"/>
  <c r="C28" i="1" l="1"/>
  <c r="C12" i="1" s="1"/>
  <c r="Q4" i="1" s="1"/>
  <c r="Q5" i="1" s="1"/>
  <c r="Q6" i="1" s="1"/>
  <c r="Q7" i="1" s="1"/>
  <c r="Q8" i="1" s="1"/>
  <c r="Q9" i="1" s="1"/>
  <c r="Q10" i="1" s="1"/>
  <c r="G16" i="1"/>
  <c r="R4" i="1"/>
  <c r="S4" i="1" s="1"/>
  <c r="N5" i="1"/>
  <c r="D25" i="1"/>
  <c r="D28" i="1" s="1"/>
  <c r="Q12" i="1" l="1"/>
  <c r="V12" i="1" s="1"/>
  <c r="V4" i="1"/>
  <c r="X4" i="1" s="1"/>
  <c r="G9" i="1"/>
  <c r="G10" i="1" s="1"/>
  <c r="V10" i="1"/>
  <c r="V8" i="1"/>
  <c r="V6" i="1"/>
  <c r="V9" i="1"/>
  <c r="V7" i="1"/>
  <c r="V5" i="1"/>
  <c r="O5" i="1"/>
  <c r="U4" i="1"/>
  <c r="Y4" i="1" s="1"/>
  <c r="L6" i="1"/>
  <c r="X5" i="1" l="1"/>
  <c r="Q13" i="1"/>
  <c r="X6" i="1"/>
  <c r="X7" i="1" s="1"/>
  <c r="X8" i="1" s="1"/>
  <c r="X9" i="1" s="1"/>
  <c r="X10" i="1" s="1"/>
  <c r="X12" i="1" s="1"/>
  <c r="W4" i="1"/>
  <c r="G12" i="1"/>
  <c r="G15" i="1" s="1"/>
  <c r="G17" i="1"/>
  <c r="G18" i="1" s="1"/>
  <c r="N6" i="1"/>
  <c r="P5" i="1"/>
  <c r="R5" i="1" s="1"/>
  <c r="S5" i="1" s="1"/>
  <c r="T5" i="1"/>
  <c r="Q14" i="1" l="1"/>
  <c r="V13" i="1"/>
  <c r="G13" i="1"/>
  <c r="X13" i="1"/>
  <c r="O6" i="1"/>
  <c r="U5" i="1"/>
  <c r="L7" i="1"/>
  <c r="Q15" i="1" l="1"/>
  <c r="V14" i="1"/>
  <c r="X14" i="1" s="1"/>
  <c r="W5" i="1"/>
  <c r="Y5" i="1"/>
  <c r="N7" i="1"/>
  <c r="P6" i="1"/>
  <c r="R6" i="1" s="1"/>
  <c r="S6" i="1" s="1"/>
  <c r="T6" i="1"/>
  <c r="Q16" i="1" l="1"/>
  <c r="V15" i="1"/>
  <c r="X15" i="1" s="1"/>
  <c r="O7" i="1"/>
  <c r="U6" i="1"/>
  <c r="L8" i="1"/>
  <c r="Q17" i="1" l="1"/>
  <c r="V16" i="1"/>
  <c r="X16" i="1" s="1"/>
  <c r="W6" i="1"/>
  <c r="Y6" i="1"/>
  <c r="N8" i="1"/>
  <c r="P7" i="1"/>
  <c r="R7" i="1" s="1"/>
  <c r="S7" i="1" s="1"/>
  <c r="T7" i="1"/>
  <c r="Q18" i="1" l="1"/>
  <c r="V17" i="1"/>
  <c r="X17" i="1" s="1"/>
  <c r="O8" i="1"/>
  <c r="U7" i="1"/>
  <c r="L9" i="1"/>
  <c r="Q19" i="1" l="1"/>
  <c r="V18" i="1"/>
  <c r="X18" i="1" s="1"/>
  <c r="W7" i="1"/>
  <c r="Y7" i="1"/>
  <c r="N9" i="1"/>
  <c r="P8" i="1"/>
  <c r="R8" i="1" s="1"/>
  <c r="S8" i="1" s="1"/>
  <c r="T8" i="1"/>
  <c r="Q20" i="1" l="1"/>
  <c r="V19" i="1"/>
  <c r="X19" i="1" s="1"/>
  <c r="O9" i="1"/>
  <c r="U8" i="1"/>
  <c r="L10" i="1"/>
  <c r="Q21" i="1" l="1"/>
  <c r="V20" i="1"/>
  <c r="X20" i="1" s="1"/>
  <c r="W8" i="1"/>
  <c r="Y8" i="1"/>
  <c r="N10" i="1"/>
  <c r="L12" i="1" s="1"/>
  <c r="P9" i="1"/>
  <c r="R9" i="1" s="1"/>
  <c r="S9" i="1" s="1"/>
  <c r="T9" i="1"/>
  <c r="Q22" i="1" l="1"/>
  <c r="V21" i="1"/>
  <c r="X21" i="1" s="1"/>
  <c r="N12" i="1"/>
  <c r="O10" i="1"/>
  <c r="U9" i="1"/>
  <c r="Q23" i="1" l="1"/>
  <c r="V22" i="1"/>
  <c r="X22" i="1" s="1"/>
  <c r="W9" i="1"/>
  <c r="Y9" i="1"/>
  <c r="P10" i="1"/>
  <c r="R10" i="1" s="1"/>
  <c r="S10" i="1" s="1"/>
  <c r="O12" i="1" s="1"/>
  <c r="T10" i="1"/>
  <c r="P12" i="1" l="1"/>
  <c r="R12" i="1" s="1"/>
  <c r="S12" i="1" s="1"/>
  <c r="U12" i="1" s="1"/>
  <c r="T12" i="1"/>
  <c r="Q24" i="1"/>
  <c r="V23" i="1"/>
  <c r="X23" i="1" s="1"/>
  <c r="U10" i="1"/>
  <c r="L13" i="1"/>
  <c r="W12" i="1" l="1"/>
  <c r="Y12" i="1"/>
  <c r="Q25" i="1"/>
  <c r="V24" i="1"/>
  <c r="X24" i="1" s="1"/>
  <c r="W10" i="1"/>
  <c r="Y10" i="1"/>
  <c r="N13" i="1"/>
  <c r="Q26" i="1" l="1"/>
  <c r="V25" i="1"/>
  <c r="X25" i="1" s="1"/>
  <c r="O13" i="1"/>
  <c r="L14" i="1"/>
  <c r="V26" i="1" l="1"/>
  <c r="X26" i="1" s="1"/>
  <c r="Q27" i="1"/>
  <c r="N14" i="1"/>
  <c r="L15" i="1" s="1"/>
  <c r="P13" i="1"/>
  <c r="R13" i="1" s="1"/>
  <c r="S13" i="1" s="1"/>
  <c r="T13" i="1"/>
  <c r="V27" i="1" l="1"/>
  <c r="X27" i="1" s="1"/>
  <c r="Q28" i="1"/>
  <c r="N15" i="1"/>
  <c r="O14" i="1"/>
  <c r="P14" i="1" s="1"/>
  <c r="R14" i="1" s="1"/>
  <c r="U13" i="1"/>
  <c r="Q29" i="1" l="1"/>
  <c r="V28" i="1"/>
  <c r="X28" i="1" s="1"/>
  <c r="W13" i="1"/>
  <c r="Y13" i="1"/>
  <c r="L16" i="1"/>
  <c r="S14" i="1"/>
  <c r="T14" i="1"/>
  <c r="Q30" i="1" l="1"/>
  <c r="V29" i="1"/>
  <c r="X29" i="1" s="1"/>
  <c r="N16" i="1"/>
  <c r="U14" i="1"/>
  <c r="O15" i="1"/>
  <c r="Q31" i="1" l="1"/>
  <c r="V30" i="1"/>
  <c r="X30" i="1" s="1"/>
  <c r="W14" i="1"/>
  <c r="Y14" i="1"/>
  <c r="P15" i="1"/>
  <c r="R15" i="1" s="1"/>
  <c r="S15" i="1" s="1"/>
  <c r="T15" i="1"/>
  <c r="L17" i="1"/>
  <c r="Q32" i="1" l="1"/>
  <c r="V31" i="1"/>
  <c r="X31" i="1" s="1"/>
  <c r="O16" i="1"/>
  <c r="U15" i="1"/>
  <c r="N17" i="1"/>
  <c r="Q33" i="1" l="1"/>
  <c r="V32" i="1"/>
  <c r="X32" i="1" s="1"/>
  <c r="W15" i="1"/>
  <c r="Y15" i="1"/>
  <c r="L18" i="1"/>
  <c r="T16" i="1"/>
  <c r="P16" i="1"/>
  <c r="R16" i="1" s="1"/>
  <c r="S16" i="1" s="1"/>
  <c r="V33" i="1" l="1"/>
  <c r="X33" i="1" s="1"/>
  <c r="Q34" i="1"/>
  <c r="V34" i="1" s="1"/>
  <c r="O17" i="1"/>
  <c r="U16" i="1"/>
  <c r="N18" i="1"/>
  <c r="X34" i="1" l="1"/>
  <c r="W16" i="1"/>
  <c r="Y16" i="1"/>
  <c r="L19" i="1"/>
  <c r="T17" i="1"/>
  <c r="P17" i="1"/>
  <c r="R17" i="1" s="1"/>
  <c r="S17" i="1" s="1"/>
  <c r="O18" i="1" l="1"/>
  <c r="U17" i="1"/>
  <c r="N19" i="1"/>
  <c r="W17" i="1" l="1"/>
  <c r="Y17" i="1"/>
  <c r="L20" i="1"/>
  <c r="P18" i="1"/>
  <c r="R18" i="1" s="1"/>
  <c r="S18" i="1" s="1"/>
  <c r="T18" i="1"/>
  <c r="O19" i="1" l="1"/>
  <c r="U18" i="1"/>
  <c r="N20" i="1"/>
  <c r="W18" i="1" l="1"/>
  <c r="Y18" i="1"/>
  <c r="L21" i="1"/>
  <c r="P19" i="1"/>
  <c r="R19" i="1" s="1"/>
  <c r="S19" i="1" s="1"/>
  <c r="T19" i="1"/>
  <c r="O20" i="1" l="1"/>
  <c r="U19" i="1"/>
  <c r="N21" i="1"/>
  <c r="W19" i="1" l="1"/>
  <c r="Y19" i="1"/>
  <c r="L22" i="1"/>
  <c r="P20" i="1"/>
  <c r="R20" i="1" s="1"/>
  <c r="S20" i="1" s="1"/>
  <c r="T20" i="1"/>
  <c r="O21" i="1" l="1"/>
  <c r="U20" i="1"/>
  <c r="N22" i="1"/>
  <c r="W20" i="1" l="1"/>
  <c r="Y20" i="1"/>
  <c r="L23" i="1"/>
  <c r="P21" i="1"/>
  <c r="R21" i="1" s="1"/>
  <c r="S21" i="1" s="1"/>
  <c r="T21" i="1"/>
  <c r="O22" i="1" l="1"/>
  <c r="U21" i="1"/>
  <c r="N23" i="1"/>
  <c r="W21" i="1" l="1"/>
  <c r="Y21" i="1"/>
  <c r="L24" i="1"/>
  <c r="P22" i="1"/>
  <c r="R22" i="1" s="1"/>
  <c r="S22" i="1" s="1"/>
  <c r="T22" i="1"/>
  <c r="O23" i="1" l="1"/>
  <c r="U22" i="1"/>
  <c r="N24" i="1"/>
  <c r="W22" i="1" l="1"/>
  <c r="Y22" i="1"/>
  <c r="L25" i="1"/>
  <c r="P23" i="1"/>
  <c r="R23" i="1" s="1"/>
  <c r="S23" i="1" s="1"/>
  <c r="T23" i="1"/>
  <c r="O24" i="1" l="1"/>
  <c r="U23" i="1"/>
  <c r="N25" i="1"/>
  <c r="W23" i="1" l="1"/>
  <c r="Y23" i="1"/>
  <c r="L26" i="1"/>
  <c r="P24" i="1"/>
  <c r="R24" i="1" s="1"/>
  <c r="S24" i="1" s="1"/>
  <c r="T24" i="1"/>
  <c r="O25" i="1" l="1"/>
  <c r="U24" i="1"/>
  <c r="N26" i="1"/>
  <c r="W24" i="1" l="1"/>
  <c r="Y24" i="1"/>
  <c r="L27" i="1"/>
  <c r="P25" i="1"/>
  <c r="R25" i="1" s="1"/>
  <c r="S25" i="1" s="1"/>
  <c r="T25" i="1"/>
  <c r="O26" i="1" l="1"/>
  <c r="U25" i="1"/>
  <c r="N27" i="1"/>
  <c r="W25" i="1" l="1"/>
  <c r="Y25" i="1"/>
  <c r="L28" i="1"/>
  <c r="P26" i="1"/>
  <c r="R26" i="1" s="1"/>
  <c r="S26" i="1" s="1"/>
  <c r="T26" i="1"/>
  <c r="O27" i="1" l="1"/>
  <c r="U26" i="1"/>
  <c r="N28" i="1"/>
  <c r="W26" i="1" l="1"/>
  <c r="Y26" i="1"/>
  <c r="L29" i="1"/>
  <c r="P27" i="1"/>
  <c r="R27" i="1" s="1"/>
  <c r="S27" i="1" s="1"/>
  <c r="T27" i="1"/>
  <c r="O28" i="1" l="1"/>
  <c r="U27" i="1"/>
  <c r="N29" i="1"/>
  <c r="W27" i="1" l="1"/>
  <c r="Y27" i="1"/>
  <c r="L30" i="1"/>
  <c r="P28" i="1"/>
  <c r="R28" i="1" s="1"/>
  <c r="S28" i="1" s="1"/>
  <c r="T28" i="1"/>
  <c r="O29" i="1" l="1"/>
  <c r="U28" i="1"/>
  <c r="N30" i="1"/>
  <c r="W28" i="1" l="1"/>
  <c r="Y28" i="1"/>
  <c r="L31" i="1"/>
  <c r="P29" i="1"/>
  <c r="R29" i="1" s="1"/>
  <c r="S29" i="1" s="1"/>
  <c r="T29" i="1"/>
  <c r="O30" i="1" l="1"/>
  <c r="U29" i="1"/>
  <c r="N31" i="1"/>
  <c r="W29" i="1" l="1"/>
  <c r="Y29" i="1"/>
  <c r="L32" i="1"/>
  <c r="P30" i="1"/>
  <c r="R30" i="1" s="1"/>
  <c r="S30" i="1" s="1"/>
  <c r="T30" i="1"/>
  <c r="O31" i="1" l="1"/>
  <c r="U30" i="1"/>
  <c r="N32" i="1"/>
  <c r="W30" i="1" l="1"/>
  <c r="Y30" i="1"/>
  <c r="L33" i="1"/>
  <c r="P31" i="1"/>
  <c r="R31" i="1" s="1"/>
  <c r="S31" i="1" s="1"/>
  <c r="T31" i="1"/>
  <c r="O32" i="1" l="1"/>
  <c r="U31" i="1"/>
  <c r="N33" i="1"/>
  <c r="W31" i="1" l="1"/>
  <c r="Y31" i="1"/>
  <c r="L34" i="1"/>
  <c r="P32" i="1"/>
  <c r="R32" i="1" s="1"/>
  <c r="S32" i="1" s="1"/>
  <c r="T32" i="1"/>
  <c r="O33" i="1" l="1"/>
  <c r="U32" i="1"/>
  <c r="N34" i="1"/>
  <c r="W32" i="1" l="1"/>
  <c r="Y32" i="1"/>
  <c r="P33" i="1"/>
  <c r="R33" i="1" s="1"/>
  <c r="S33" i="1" s="1"/>
  <c r="T33" i="1"/>
  <c r="O34" i="1" l="1"/>
  <c r="U33" i="1"/>
  <c r="W33" i="1" l="1"/>
  <c r="Y33" i="1"/>
  <c r="P34" i="1"/>
  <c r="R34" i="1" s="1"/>
  <c r="S34" i="1" s="1"/>
  <c r="U34" i="1" s="1"/>
  <c r="Y34" i="1" s="1"/>
  <c r="T34" i="1"/>
  <c r="W34" i="1" l="1"/>
</calcChain>
</file>

<file path=xl/sharedStrings.xml><?xml version="1.0" encoding="utf-8"?>
<sst xmlns="http://schemas.openxmlformats.org/spreadsheetml/2006/main" count="79" uniqueCount="72">
  <si>
    <t>Purchase Price</t>
  </si>
  <si>
    <t>Down Payment %</t>
  </si>
  <si>
    <t>Loan Interest Rate (Annual %)</t>
  </si>
  <si>
    <t>Loan Term (Years)</t>
  </si>
  <si>
    <t>Gross Annual Rental Income</t>
  </si>
  <si>
    <t>Operating Expenses</t>
  </si>
  <si>
    <t>Renovation Cash</t>
  </si>
  <si>
    <t>Appreciation Rate (%)</t>
  </si>
  <si>
    <t>Days Booked per Year</t>
  </si>
  <si>
    <t>Average Nightly Rate</t>
  </si>
  <si>
    <t>Expense Inflation Rate %</t>
  </si>
  <si>
    <t>Loan Amount</t>
  </si>
  <si>
    <t>Annual Mortgage Rate</t>
  </si>
  <si>
    <t>Monthly Rate</t>
  </si>
  <si>
    <t>Number of Payments</t>
  </si>
  <si>
    <t>Monthly Mortgage Payment</t>
  </si>
  <si>
    <t>Annual Mortgage Payment</t>
  </si>
  <si>
    <t>Net Operating Income (NOI)</t>
  </si>
  <si>
    <t>Cap Rate (%)</t>
  </si>
  <si>
    <t>Annual Cash Flow (NOI - Debt)</t>
  </si>
  <si>
    <t>Total Cash Invested</t>
  </si>
  <si>
    <t>Break-even Down Payment (%)</t>
  </si>
  <si>
    <t>Year</t>
  </si>
  <si>
    <t>Start Property Value</t>
  </si>
  <si>
    <t>Appreciation Rate</t>
  </si>
  <si>
    <t>End Property Value</t>
  </si>
  <si>
    <t>Start Loan Balance</t>
  </si>
  <si>
    <t>Annual Interest Paid</t>
  </si>
  <si>
    <t>Annual Principal Paid</t>
  </si>
  <si>
    <t>End Loan Balance</t>
  </si>
  <si>
    <t>Start Equity</t>
  </si>
  <si>
    <t>End Equity</t>
  </si>
  <si>
    <t>Annual Cash Flow</t>
  </si>
  <si>
    <t>Total Return (Equity Gain + CF)</t>
  </si>
  <si>
    <t>Cost Category</t>
  </si>
  <si>
    <t>Annual</t>
  </si>
  <si>
    <t>Monthly</t>
  </si>
  <si>
    <t>Property tax</t>
  </si>
  <si>
    <t>Insurance</t>
  </si>
  <si>
    <t>Utilities</t>
  </si>
  <si>
    <t>Routine Maintenance &amp; Repairs</t>
  </si>
  <si>
    <t>Vacation Rental Management</t>
  </si>
  <si>
    <t>Cleaning (Pass through to renters)</t>
  </si>
  <si>
    <t>Platform fee</t>
  </si>
  <si>
    <t>Total Operating Cost:</t>
  </si>
  <si>
    <t>Gross Rental Income</t>
  </si>
  <si>
    <t>Annual Occupancy Rate</t>
  </si>
  <si>
    <t>Platform Fee</t>
  </si>
  <si>
    <t xml:space="preserve">Net Rental Income </t>
  </si>
  <si>
    <t>Input Assumptions</t>
  </si>
  <si>
    <t>Payment Factor</t>
  </si>
  <si>
    <t>Break Even Loan</t>
  </si>
  <si>
    <t>Monthly Cash Flow (NOI - Debt)</t>
  </si>
  <si>
    <t>10 Year Multi year analysis factoring in Appreciation</t>
  </si>
  <si>
    <t>x</t>
  </si>
  <si>
    <t>Input:</t>
  </si>
  <si>
    <t>Automatically calculated:</t>
  </si>
  <si>
    <t>Analysis</t>
  </si>
  <si>
    <t>Cumulative Cash Flow</t>
  </si>
  <si>
    <t>Annualized ROI%</t>
  </si>
  <si>
    <t>&lt;- Core yield of the asset before debt (generally above 5% is ideal)</t>
  </si>
  <si>
    <t>&lt;- Want to minimize the shortfall of cash, in a pure investment property you'd want to be as close to cash flow positive as posible (if not positive)</t>
  </si>
  <si>
    <t>Explanations/Rule of thumb</t>
  </si>
  <si>
    <t>&lt;- Investment Property are about 1% higher then second home mortgages</t>
  </si>
  <si>
    <t>&lt;-Total Paid at day One (Down payment + Renovations)</t>
  </si>
  <si>
    <t>NOTES</t>
  </si>
  <si>
    <t>-Total Return (Equity + CF) - is important because it tells you the single year wealth creation</t>
  </si>
  <si>
    <t>Operating Expense Ratio</t>
  </si>
  <si>
    <t>&lt;- Efficency Metric most investment properties run 35%-45%</t>
  </si>
  <si>
    <t>-Annualized ROI - also known as a CAGR - for investment only want it over 10% within 5 years, if dual purpose over 8% is still considered good because it beats the S&amp;P</t>
  </si>
  <si>
    <t>Real Estate Investment Model (Can work for Regular real estate as well)</t>
  </si>
  <si>
    <t>Cash on Cash ROI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</si>
</sst>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44" fontId="0" fillId="2" borderId="1" xfId="1" applyFont="1" applyFill="1" applyBorder="1"/>
    <xf numFmtId="44" fontId="0" fillId="0" borderId="0" xfId="1" applyFont="1"/>
    <xf numFmtId="44" fontId="0" fillId="3" borderId="1" xfId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0" fontId="0" fillId="2" borderId="1" xfId="1" applyNumberFormat="1" applyFont="1" applyFill="1" applyBorder="1"/>
    <xf numFmtId="0" fontId="0" fillId="2" borderId="1" xfId="1" applyNumberFormat="1" applyFont="1" applyFill="1" applyBorder="1"/>
    <xf numFmtId="44" fontId="0" fillId="0" borderId="3" xfId="1" applyFont="1" applyBorder="1"/>
    <xf numFmtId="44" fontId="0" fillId="0" borderId="4" xfId="1" applyFon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/>
    <xf numFmtId="44" fontId="0" fillId="0" borderId="0" xfId="0" applyNumberFormat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9" xfId="0" applyFont="1" applyBorder="1"/>
    <xf numFmtId="44" fontId="0" fillId="0" borderId="9" xfId="1" applyFont="1" applyBorder="1"/>
    <xf numFmtId="0" fontId="4" fillId="0" borderId="8" xfId="0" applyFont="1" applyBorder="1"/>
    <xf numFmtId="44" fontId="4" fillId="0" borderId="0" xfId="1" applyFont="1" applyBorder="1"/>
    <xf numFmtId="44" fontId="4" fillId="0" borderId="9" xfId="1" applyFont="1" applyBorder="1"/>
    <xf numFmtId="0" fontId="1" fillId="0" borderId="10" xfId="0" applyFont="1" applyBorder="1"/>
    <xf numFmtId="44" fontId="0" fillId="2" borderId="11" xfId="1" applyFont="1" applyFill="1" applyBorder="1"/>
    <xf numFmtId="0" fontId="0" fillId="0" borderId="12" xfId="0" applyBorder="1"/>
    <xf numFmtId="0" fontId="6" fillId="0" borderId="13" xfId="0" applyFont="1" applyBorder="1"/>
    <xf numFmtId="44" fontId="0" fillId="0" borderId="14" xfId="1" applyFont="1" applyBorder="1"/>
    <xf numFmtId="0" fontId="6" fillId="0" borderId="15" xfId="0" applyFont="1" applyBorder="1"/>
    <xf numFmtId="10" fontId="0" fillId="0" borderId="16" xfId="2" applyNumberFormat="1" applyFont="1" applyBorder="1"/>
    <xf numFmtId="0" fontId="0" fillId="0" borderId="16" xfId="0" applyBorder="1"/>
    <xf numFmtId="44" fontId="0" fillId="0" borderId="16" xfId="1" applyFont="1" applyBorder="1"/>
    <xf numFmtId="0" fontId="0" fillId="0" borderId="14" xfId="0" applyBorder="1"/>
    <xf numFmtId="10" fontId="0" fillId="0" borderId="12" xfId="2" applyNumberFormat="1" applyFont="1" applyBorder="1"/>
    <xf numFmtId="0" fontId="0" fillId="0" borderId="3" xfId="0" applyBorder="1"/>
    <xf numFmtId="0" fontId="1" fillId="0" borderId="6" xfId="0" applyFont="1" applyBorder="1"/>
    <xf numFmtId="10" fontId="0" fillId="0" borderId="9" xfId="2" applyNumberFormat="1" applyFont="1" applyBorder="1"/>
    <xf numFmtId="44" fontId="0" fillId="5" borderId="14" xfId="1" applyFont="1" applyFill="1" applyBorder="1"/>
    <xf numFmtId="0" fontId="1" fillId="5" borderId="2" xfId="0" applyFont="1" applyFill="1" applyBorder="1"/>
    <xf numFmtId="0" fontId="0" fillId="0" borderId="0" xfId="0" quotePrefix="1"/>
    <xf numFmtId="44" fontId="0" fillId="0" borderId="17" xfId="0" applyNumberFormat="1" applyBorder="1"/>
    <xf numFmtId="0" fontId="1" fillId="5" borderId="7" xfId="0" applyFont="1" applyFill="1" applyBorder="1" applyAlignment="1">
      <alignment horizontal="center"/>
    </xf>
    <xf numFmtId="0" fontId="6" fillId="0" borderId="10" xfId="0" applyFont="1" applyBorder="1"/>
    <xf numFmtId="10" fontId="0" fillId="5" borderId="9" xfId="2" applyNumberFormat="1" applyFont="1" applyFill="1" applyBorder="1"/>
    <xf numFmtId="0" fontId="0" fillId="5" borderId="16" xfId="0" applyFill="1" applyBorder="1"/>
    <xf numFmtId="0" fontId="0" fillId="5" borderId="12" xfId="0" applyFill="1" applyBorder="1"/>
    <xf numFmtId="0" fontId="7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0" borderId="0" xfId="0" quotePrefix="1" applyAlignment="1">
      <alignment horizontal="left" vertical="top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3" fillId="4" borderId="6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tabSelected="1" workbookViewId="0">
      <selection activeCell="F16" sqref="F16"/>
    </sheetView>
  </sheetViews>
  <sheetFormatPr defaultRowHeight="14.4" x14ac:dyDescent="0.3"/>
  <cols>
    <col min="1" max="1" width="4.109375" customWidth="1"/>
    <col min="2" max="2" width="32" customWidth="1"/>
    <col min="3" max="3" width="16" customWidth="1"/>
    <col min="4" max="4" width="11.21875" customWidth="1"/>
    <col min="5" max="5" width="3.21875" customWidth="1"/>
    <col min="6" max="6" width="27.77734375" customWidth="1"/>
    <col min="7" max="7" width="15.44140625" customWidth="1"/>
    <col min="8" max="8" width="3.33203125" hidden="1" customWidth="1"/>
    <col min="9" max="9" width="67" customWidth="1"/>
    <col min="10" max="10" width="3.6640625" customWidth="1"/>
    <col min="12" max="12" width="18.5546875" bestFit="1" customWidth="1"/>
    <col min="13" max="13" width="16.5546875" bestFit="1" customWidth="1"/>
    <col min="14" max="14" width="17.77734375" bestFit="1" customWidth="1"/>
    <col min="15" max="15" width="16.77734375" bestFit="1" customWidth="1"/>
    <col min="16" max="16" width="18.77734375" bestFit="1" customWidth="1"/>
    <col min="17" max="17" width="18.33203125" bestFit="1" customWidth="1"/>
    <col min="18" max="18" width="19.44140625" bestFit="1" customWidth="1"/>
    <col min="19" max="19" width="15.88671875" bestFit="1" customWidth="1"/>
    <col min="20" max="21" width="14.77734375" customWidth="1"/>
    <col min="22" max="22" width="16.21875" bestFit="1" customWidth="1"/>
    <col min="23" max="23" width="27.6640625" customWidth="1"/>
    <col min="24" max="24" width="25.33203125" hidden="1" customWidth="1"/>
    <col min="25" max="25" width="19" customWidth="1"/>
    <col min="26" max="26" width="2.21875" customWidth="1"/>
    <col min="27" max="27" width="106.6640625" customWidth="1"/>
  </cols>
  <sheetData>
    <row r="1" spans="1:27" ht="15" thickBot="1" x14ac:dyDescent="0.35">
      <c r="B1" t="s">
        <v>70</v>
      </c>
    </row>
    <row r="2" spans="1:27" ht="16.2" thickBot="1" x14ac:dyDescent="0.35">
      <c r="B2" s="48" t="s">
        <v>49</v>
      </c>
      <c r="C2" s="55"/>
      <c r="D2" s="49"/>
      <c r="E2" s="11" t="s">
        <v>54</v>
      </c>
      <c r="F2" s="48" t="s">
        <v>57</v>
      </c>
      <c r="G2" s="49"/>
      <c r="I2" s="6" t="s">
        <v>62</v>
      </c>
      <c r="J2" s="11" t="s">
        <v>54</v>
      </c>
      <c r="K2" s="47" t="s">
        <v>53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AA2" s="5" t="s">
        <v>65</v>
      </c>
    </row>
    <row r="3" spans="1:27" x14ac:dyDescent="0.3">
      <c r="B3" s="12" t="s">
        <v>55</v>
      </c>
      <c r="C3" s="8"/>
      <c r="D3" s="13"/>
      <c r="F3" s="27" t="s">
        <v>11</v>
      </c>
      <c r="G3" s="28">
        <f>Calc!C6*(1-Calc!C7)</f>
        <v>400000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5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39" t="s">
        <v>33</v>
      </c>
      <c r="X3" s="36" t="s">
        <v>58</v>
      </c>
      <c r="Y3" s="42" t="s">
        <v>59</v>
      </c>
      <c r="AA3" s="40" t="s">
        <v>66</v>
      </c>
    </row>
    <row r="4" spans="1:27" x14ac:dyDescent="0.3">
      <c r="B4" s="12" t="s">
        <v>56</v>
      </c>
      <c r="C4" s="4"/>
      <c r="D4" s="13"/>
      <c r="F4" s="29" t="s">
        <v>12</v>
      </c>
      <c r="G4" s="30">
        <f>Calc!C8/100</f>
        <v>7.2499999999999995E-2</v>
      </c>
      <c r="I4" t="s">
        <v>63</v>
      </c>
      <c r="K4">
        <v>1</v>
      </c>
      <c r="L4" s="3">
        <f>Calc!C6</f>
        <v>500000</v>
      </c>
      <c r="M4">
        <f>Calc!C14/100</f>
        <v>0.05</v>
      </c>
      <c r="N4" s="3">
        <f t="shared" ref="N4:N10" si="0">L4*(1+M4)</f>
        <v>525000</v>
      </c>
      <c r="O4" s="3">
        <f>Calc!G3</f>
        <v>400000</v>
      </c>
      <c r="P4" s="3">
        <f>O4*Calc!C8/100</f>
        <v>29000</v>
      </c>
      <c r="Q4" s="3">
        <f>Calc!C12</f>
        <v>25328.3</v>
      </c>
      <c r="R4" s="3">
        <f>Calc!G8-P4</f>
        <v>3744.4614426972112</v>
      </c>
      <c r="S4" s="3">
        <f t="shared" ref="S4:S10" si="1">O4-R4</f>
        <v>396255.53855730279</v>
      </c>
      <c r="T4" s="3">
        <f t="shared" ref="T4:T10" si="2">L4-O4</f>
        <v>100000</v>
      </c>
      <c r="U4" s="3">
        <f t="shared" ref="U4:U10" si="3">N4-S4</f>
        <v>128744.46144269721</v>
      </c>
      <c r="V4" s="3">
        <f>Calc!C11-Q4-Calc!G8</f>
        <v>-16462.76144269721</v>
      </c>
      <c r="W4" s="9">
        <f t="shared" ref="W4:W10" si="4">(U4-T4)+V4</f>
        <v>12281.7</v>
      </c>
      <c r="X4" s="15">
        <f>V4</f>
        <v>-16462.76144269721</v>
      </c>
      <c r="Y4" s="37">
        <f t="shared" ref="Y4:Y10" si="5">((U4+X4)/$G$14)^(1/K4)-1</f>
        <v>-6.4319166666666705E-2</v>
      </c>
      <c r="AA4" s="50" t="s">
        <v>69</v>
      </c>
    </row>
    <row r="5" spans="1:27" x14ac:dyDescent="0.3">
      <c r="A5" s="11" t="s">
        <v>54</v>
      </c>
      <c r="B5" s="16"/>
      <c r="D5" s="13"/>
      <c r="F5" s="29" t="s">
        <v>13</v>
      </c>
      <c r="G5" s="30">
        <f>Calc!G4/12</f>
        <v>6.0416666666666665E-3</v>
      </c>
      <c r="K5">
        <v>2</v>
      </c>
      <c r="L5" s="3">
        <f t="shared" ref="L5:L10" si="6">N4</f>
        <v>525000</v>
      </c>
      <c r="M5">
        <f>Calc!C14/100</f>
        <v>0.05</v>
      </c>
      <c r="N5" s="3">
        <f t="shared" si="0"/>
        <v>551250</v>
      </c>
      <c r="O5" s="3">
        <f t="shared" ref="O5:O10" si="7">S4</f>
        <v>396255.53855730279</v>
      </c>
      <c r="P5" s="3">
        <f>O5*Calc!C8/100</f>
        <v>28728.526545404453</v>
      </c>
      <c r="Q5" s="3">
        <f>Q4*(1+Calc!C15/100)</f>
        <v>26088.149000000001</v>
      </c>
      <c r="R5" s="3">
        <f>Calc!G8-P5</f>
        <v>4015.9348972927583</v>
      </c>
      <c r="S5" s="3">
        <f t="shared" si="1"/>
        <v>392239.60366001003</v>
      </c>
      <c r="T5" s="3">
        <f t="shared" si="2"/>
        <v>128744.46144269721</v>
      </c>
      <c r="U5" s="3">
        <f t="shared" si="3"/>
        <v>159010.39633998997</v>
      </c>
      <c r="V5" s="3">
        <f>Calc!C11-Q5-Calc!G8</f>
        <v>-17222.610442697212</v>
      </c>
      <c r="W5" s="9">
        <f t="shared" si="4"/>
        <v>13043.324454595542</v>
      </c>
      <c r="X5" s="15">
        <f>V5+X4</f>
        <v>-33685.371885394423</v>
      </c>
      <c r="Y5" s="37">
        <f t="shared" si="5"/>
        <v>2.1946771504414597E-2</v>
      </c>
      <c r="AA5" s="50"/>
    </row>
    <row r="6" spans="1:27" x14ac:dyDescent="0.3">
      <c r="B6" s="14" t="s">
        <v>0</v>
      </c>
      <c r="C6" s="8">
        <v>500000</v>
      </c>
      <c r="D6" s="13"/>
      <c r="F6" s="29" t="s">
        <v>14</v>
      </c>
      <c r="G6" s="31">
        <f>Calc!C9*12</f>
        <v>360</v>
      </c>
      <c r="K6">
        <v>3</v>
      </c>
      <c r="L6" s="3">
        <f t="shared" si="6"/>
        <v>551250</v>
      </c>
      <c r="M6">
        <f>Calc!C14/100</f>
        <v>0.05</v>
      </c>
      <c r="N6" s="3">
        <f t="shared" si="0"/>
        <v>578812.5</v>
      </c>
      <c r="O6" s="3">
        <f t="shared" si="7"/>
        <v>392239.60366001003</v>
      </c>
      <c r="P6" s="3">
        <f>O6*Calc!C8/100</f>
        <v>28437.371265350728</v>
      </c>
      <c r="Q6" s="3">
        <f>Q5*(1+Calc!C15/100)</f>
        <v>26870.793470000001</v>
      </c>
      <c r="R6" s="3">
        <f>Calc!G8-P6</f>
        <v>4307.090177346483</v>
      </c>
      <c r="S6" s="3">
        <f t="shared" si="1"/>
        <v>387932.51348266355</v>
      </c>
      <c r="T6" s="3">
        <f t="shared" si="2"/>
        <v>159010.39633998997</v>
      </c>
      <c r="U6" s="3">
        <f t="shared" si="3"/>
        <v>190879.98651733645</v>
      </c>
      <c r="V6" s="3">
        <f>Calc!C11-Q6-Calc!G8</f>
        <v>-18005.254912697212</v>
      </c>
      <c r="W6" s="9">
        <f t="shared" si="4"/>
        <v>13864.335264649275</v>
      </c>
      <c r="X6" s="15">
        <f t="shared" ref="X6:X34" si="8">V6+X5</f>
        <v>-51690.626798091631</v>
      </c>
      <c r="Y6" s="37">
        <f t="shared" si="5"/>
        <v>5.0690801953419129E-2</v>
      </c>
    </row>
    <row r="7" spans="1:27" x14ac:dyDescent="0.3">
      <c r="B7" s="14" t="s">
        <v>1</v>
      </c>
      <c r="C7" s="8">
        <v>0.2</v>
      </c>
      <c r="D7" s="13"/>
      <c r="F7" s="29" t="s">
        <v>15</v>
      </c>
      <c r="G7" s="32">
        <f>-PMT(Calc!G5,Calc!G6,Calc!G3)</f>
        <v>2728.7051202247676</v>
      </c>
      <c r="K7">
        <v>4</v>
      </c>
      <c r="L7" s="3">
        <f t="shared" si="6"/>
        <v>578812.5</v>
      </c>
      <c r="M7">
        <f>Calc!C14/100</f>
        <v>0.05</v>
      </c>
      <c r="N7" s="3">
        <f t="shared" si="0"/>
        <v>607753.125</v>
      </c>
      <c r="O7" s="3">
        <f t="shared" si="7"/>
        <v>387932.51348266355</v>
      </c>
      <c r="P7" s="3">
        <f>O7*Calc!C8/100</f>
        <v>28125.107227493107</v>
      </c>
      <c r="Q7" s="3">
        <f>Q6*(1+Calc!C15/100)</f>
        <v>27676.9172741</v>
      </c>
      <c r="R7" s="3">
        <f>Calc!G8-P7</f>
        <v>4619.3542152041045</v>
      </c>
      <c r="S7" s="3">
        <f t="shared" si="1"/>
        <v>383313.15926745941</v>
      </c>
      <c r="T7" s="3">
        <f t="shared" si="2"/>
        <v>190879.98651733645</v>
      </c>
      <c r="U7" s="3">
        <f t="shared" si="3"/>
        <v>224439.96573254059</v>
      </c>
      <c r="V7" s="3">
        <f>Calc!C11-Q7-Calc!G8</f>
        <v>-18811.378716797211</v>
      </c>
      <c r="W7" s="9">
        <f t="shared" si="4"/>
        <v>14748.600498406922</v>
      </c>
      <c r="X7" s="15">
        <f t="shared" si="8"/>
        <v>-70502.00551488885</v>
      </c>
      <c r="Y7" s="37">
        <f t="shared" si="5"/>
        <v>6.4243779431534476E-2</v>
      </c>
    </row>
    <row r="8" spans="1:27" x14ac:dyDescent="0.3">
      <c r="B8" s="14" t="s">
        <v>2</v>
      </c>
      <c r="C8" s="8">
        <v>7.25</v>
      </c>
      <c r="D8" s="13"/>
      <c r="F8" s="29" t="s">
        <v>16</v>
      </c>
      <c r="G8" s="32">
        <f>Calc!G7*12</f>
        <v>32744.461442697211</v>
      </c>
      <c r="K8">
        <v>5</v>
      </c>
      <c r="L8" s="3">
        <f t="shared" si="6"/>
        <v>607753.125</v>
      </c>
      <c r="M8">
        <f>Calc!C14/100</f>
        <v>0.05</v>
      </c>
      <c r="N8" s="3">
        <f t="shared" si="0"/>
        <v>638140.78125</v>
      </c>
      <c r="O8" s="3">
        <f t="shared" si="7"/>
        <v>383313.15926745941</v>
      </c>
      <c r="P8" s="3">
        <f>O8*Calc!C8/100</f>
        <v>27790.204046890805</v>
      </c>
      <c r="Q8" s="3">
        <f>Q7*(1+Calc!C15/100)</f>
        <v>28507.224792323002</v>
      </c>
      <c r="R8" s="3">
        <f>Calc!G8-P8</f>
        <v>4954.2573958064058</v>
      </c>
      <c r="S8" s="3">
        <f t="shared" si="1"/>
        <v>378358.90187165298</v>
      </c>
      <c r="T8" s="3">
        <f t="shared" si="2"/>
        <v>224439.96573254059</v>
      </c>
      <c r="U8" s="3">
        <f t="shared" si="3"/>
        <v>259781.87937834702</v>
      </c>
      <c r="V8" s="3">
        <f>Calc!C11-Q8-Calc!G8</f>
        <v>-19641.686235020214</v>
      </c>
      <c r="W8" s="9">
        <f t="shared" si="4"/>
        <v>15700.227410786218</v>
      </c>
      <c r="X8" s="15">
        <f t="shared" si="8"/>
        <v>-90143.691749909063</v>
      </c>
      <c r="Y8" s="37">
        <f t="shared" si="5"/>
        <v>7.1688265903019577E-2</v>
      </c>
    </row>
    <row r="9" spans="1:27" x14ac:dyDescent="0.3">
      <c r="B9" s="14" t="s">
        <v>3</v>
      </c>
      <c r="C9" s="8">
        <v>30</v>
      </c>
      <c r="D9" s="13"/>
      <c r="F9" s="29" t="s">
        <v>17</v>
      </c>
      <c r="G9" s="32">
        <f>Calc!C11-Calc!C12</f>
        <v>16281.7</v>
      </c>
      <c r="K9">
        <v>6</v>
      </c>
      <c r="L9" s="3">
        <f t="shared" si="6"/>
        <v>638140.78125</v>
      </c>
      <c r="M9">
        <f>Calc!C14/100</f>
        <v>0.05</v>
      </c>
      <c r="N9" s="3">
        <f t="shared" si="0"/>
        <v>670047.8203125</v>
      </c>
      <c r="O9" s="3">
        <f t="shared" si="7"/>
        <v>378358.90187165298</v>
      </c>
      <c r="P9" s="3">
        <f>O9*Calc!C8/100</f>
        <v>27431.020385694839</v>
      </c>
      <c r="Q9" s="3">
        <f>Q8*(1+Calc!C15/100)</f>
        <v>29362.441536092694</v>
      </c>
      <c r="R9" s="3">
        <f>Calc!G8-P9</f>
        <v>5313.441057002372</v>
      </c>
      <c r="S9" s="3">
        <f t="shared" si="1"/>
        <v>373045.46081465064</v>
      </c>
      <c r="T9" s="3">
        <f t="shared" si="2"/>
        <v>259781.87937834702</v>
      </c>
      <c r="U9" s="3">
        <f t="shared" si="3"/>
        <v>297002.35949784936</v>
      </c>
      <c r="V9" s="3">
        <f>Calc!C11-Q9-Calc!G8</f>
        <v>-20496.902978789905</v>
      </c>
      <c r="W9" s="9">
        <f t="shared" si="4"/>
        <v>16723.577140712441</v>
      </c>
      <c r="X9" s="15">
        <f t="shared" si="8"/>
        <v>-110640.59472869897</v>
      </c>
      <c r="Y9" s="37">
        <f t="shared" si="5"/>
        <v>7.612468753344892E-2</v>
      </c>
    </row>
    <row r="10" spans="1:27" x14ac:dyDescent="0.3">
      <c r="B10" s="14" t="s">
        <v>4</v>
      </c>
      <c r="C10" s="4">
        <f>C32*C33</f>
        <v>41610</v>
      </c>
      <c r="D10" s="13"/>
      <c r="F10" s="29" t="s">
        <v>18</v>
      </c>
      <c r="G10" s="45">
        <f>Calc!G9/Calc!C6*100</f>
        <v>3.2563399999999998</v>
      </c>
      <c r="I10" t="s">
        <v>60</v>
      </c>
      <c r="K10">
        <v>7</v>
      </c>
      <c r="L10" s="3">
        <f t="shared" si="6"/>
        <v>670047.8203125</v>
      </c>
      <c r="M10">
        <f>Calc!C14/100</f>
        <v>0.05</v>
      </c>
      <c r="N10" s="3">
        <f t="shared" si="0"/>
        <v>703550.21132812498</v>
      </c>
      <c r="O10" s="3">
        <f t="shared" si="7"/>
        <v>373045.46081465064</v>
      </c>
      <c r="P10" s="3">
        <f>O10*Calc!C8/100</f>
        <v>27045.795909062173</v>
      </c>
      <c r="Q10" s="3">
        <f>Q9*(1+Calc!C15/100)</f>
        <v>30243.314782175476</v>
      </c>
      <c r="R10" s="3">
        <f>Calc!G8-P10</f>
        <v>5698.6655336350377</v>
      </c>
      <c r="S10" s="3">
        <f t="shared" si="1"/>
        <v>367346.79528101557</v>
      </c>
      <c r="T10" s="3">
        <f t="shared" si="2"/>
        <v>297002.35949784936</v>
      </c>
      <c r="U10" s="3">
        <f t="shared" si="3"/>
        <v>336203.41604710941</v>
      </c>
      <c r="V10" s="3">
        <f>Calc!C11-Q10-Calc!G8</f>
        <v>-21377.776224872687</v>
      </c>
      <c r="W10" s="9">
        <f t="shared" si="4"/>
        <v>17823.280324387357</v>
      </c>
      <c r="X10" s="15">
        <f t="shared" si="8"/>
        <v>-132018.37095357166</v>
      </c>
      <c r="Y10" s="37">
        <f t="shared" si="5"/>
        <v>7.8890890835821903E-2</v>
      </c>
    </row>
    <row r="11" spans="1:27" hidden="1" x14ac:dyDescent="0.3">
      <c r="B11" s="14" t="s">
        <v>48</v>
      </c>
      <c r="C11" s="15">
        <f>C32*C33</f>
        <v>41610</v>
      </c>
      <c r="F11" s="16"/>
      <c r="G11" s="13"/>
      <c r="W11" s="35"/>
      <c r="X11" s="15"/>
      <c r="Y11" s="37"/>
    </row>
    <row r="12" spans="1:27" x14ac:dyDescent="0.3">
      <c r="B12" s="14" t="s">
        <v>5</v>
      </c>
      <c r="C12" s="4">
        <f>C28</f>
        <v>25328.3</v>
      </c>
      <c r="D12" s="13"/>
      <c r="F12" s="27" t="s">
        <v>19</v>
      </c>
      <c r="G12" s="38">
        <f>Calc!G9-Calc!G8</f>
        <v>-16462.76144269721</v>
      </c>
      <c r="I12" s="54" t="s">
        <v>61</v>
      </c>
      <c r="K12">
        <v>8</v>
      </c>
      <c r="L12" s="3">
        <f>N10</f>
        <v>703550.21132812498</v>
      </c>
      <c r="M12">
        <f>Calc!C14/100</f>
        <v>0.05</v>
      </c>
      <c r="N12" s="3">
        <f t="shared" ref="N12:N24" si="9">L12*(1+M12)</f>
        <v>738727.72189453128</v>
      </c>
      <c r="O12" s="3">
        <f>S10</f>
        <v>367346.79528101557</v>
      </c>
      <c r="P12" s="3">
        <f>O12*Calc!C8/100</f>
        <v>26632.642657873632</v>
      </c>
      <c r="Q12" s="3">
        <f>Q10*(1+Calc!C15/100)</f>
        <v>31150.61422564074</v>
      </c>
      <c r="R12" s="3">
        <f>Calc!G8-P12</f>
        <v>6111.8187848235793</v>
      </c>
      <c r="S12" s="3">
        <f>O12-R12</f>
        <v>361234.97649619199</v>
      </c>
      <c r="T12" s="3">
        <f>L12-O12</f>
        <v>336203.41604710941</v>
      </c>
      <c r="U12" s="3">
        <f>N12-S12</f>
        <v>377492.74539833929</v>
      </c>
      <c r="V12" s="3">
        <f>Calc!C11-Q12-Calc!G8</f>
        <v>-22285.075668337951</v>
      </c>
      <c r="W12" s="9">
        <f>(U12-T12)+V12</f>
        <v>19004.253682891933</v>
      </c>
      <c r="X12" s="15">
        <f>V12+X10</f>
        <v>-154303.44662190962</v>
      </c>
      <c r="Y12" s="44">
        <f t="shared" ref="Y12:Y34" si="10">((U12+X12)/$G$14)^(1/K12)-1</f>
        <v>8.0653626457212635E-2</v>
      </c>
    </row>
    <row r="13" spans="1:27" x14ac:dyDescent="0.3">
      <c r="B13" s="14" t="s">
        <v>6</v>
      </c>
      <c r="C13" s="8">
        <v>20000</v>
      </c>
      <c r="D13" s="13"/>
      <c r="F13" s="27" t="s">
        <v>52</v>
      </c>
      <c r="G13" s="38">
        <f>G12/12</f>
        <v>-1371.8967868914342</v>
      </c>
      <c r="I13" s="54"/>
      <c r="K13">
        <v>9</v>
      </c>
      <c r="L13" s="3">
        <f t="shared" ref="L13:L24" si="11">N12</f>
        <v>738727.72189453128</v>
      </c>
      <c r="M13">
        <f>Calc!C14/100</f>
        <v>0.05</v>
      </c>
      <c r="N13" s="3">
        <f t="shared" si="9"/>
        <v>775664.1079892579</v>
      </c>
      <c r="O13" s="3">
        <f t="shared" ref="O13:O24" si="12">S12</f>
        <v>361234.97649619199</v>
      </c>
      <c r="P13" s="3">
        <f>O13*Calc!C8/100</f>
        <v>26189.535795973919</v>
      </c>
      <c r="Q13" s="3">
        <f>Q12*(1+Calc!C15/100)</f>
        <v>32085.132652409964</v>
      </c>
      <c r="R13" s="3">
        <f>Calc!G8-P13</f>
        <v>6554.9256467232917</v>
      </c>
      <c r="S13" s="3">
        <f>O13-R13</f>
        <v>354680.05084946868</v>
      </c>
      <c r="T13" s="3">
        <f>L13-O13</f>
        <v>377492.74539833929</v>
      </c>
      <c r="U13" s="3">
        <f>N13-S13</f>
        <v>420984.05713978922</v>
      </c>
      <c r="V13" s="3">
        <f>Calc!C11-Q13-Calc!G8</f>
        <v>-23219.594095107175</v>
      </c>
      <c r="W13" s="9">
        <f>(U13-T13)+V13</f>
        <v>20271.717646342753</v>
      </c>
      <c r="X13" s="15">
        <f t="shared" si="8"/>
        <v>-177523.04071701679</v>
      </c>
      <c r="Y13" s="37">
        <f t="shared" si="10"/>
        <v>8.1779350558357056E-2</v>
      </c>
    </row>
    <row r="14" spans="1:27" ht="14.4" customHeight="1" x14ac:dyDescent="0.3">
      <c r="B14" s="14" t="s">
        <v>7</v>
      </c>
      <c r="C14" s="8">
        <v>5</v>
      </c>
      <c r="D14" s="13"/>
      <c r="F14" s="27" t="s">
        <v>20</v>
      </c>
      <c r="G14" s="28">
        <f>Calc!C6*Calc!C7+Calc!C13</f>
        <v>120000</v>
      </c>
      <c r="I14" t="s">
        <v>64</v>
      </c>
      <c r="K14">
        <v>10</v>
      </c>
      <c r="L14" s="3">
        <f t="shared" si="11"/>
        <v>775664.1079892579</v>
      </c>
      <c r="M14">
        <f>Calc!$C$14/100</f>
        <v>0.05</v>
      </c>
      <c r="N14" s="3">
        <f t="shared" si="9"/>
        <v>814447.31338872085</v>
      </c>
      <c r="O14" s="3">
        <f t="shared" si="12"/>
        <v>354680.05084946868</v>
      </c>
      <c r="P14" s="3">
        <f>O14*Calc!$C$8/100</f>
        <v>25714.303686586478</v>
      </c>
      <c r="Q14" s="3">
        <f>Q13*(1+Calc!$C$15/100)</f>
        <v>33047.686631982266</v>
      </c>
      <c r="R14" s="3">
        <f>Calc!$G$8-P14</f>
        <v>7030.1577561107333</v>
      </c>
      <c r="S14" s="3">
        <f>O14-R14</f>
        <v>347649.89309335797</v>
      </c>
      <c r="T14" s="3">
        <f>L14-O14</f>
        <v>420984.05713978922</v>
      </c>
      <c r="U14" s="3">
        <f>N14-S14</f>
        <v>466797.42029536288</v>
      </c>
      <c r="V14" s="3">
        <f>Calc!$C$11-Q14-Calc!$G$8</f>
        <v>-24182.148074679477</v>
      </c>
      <c r="W14" s="9">
        <f>(U14-T14)+V14</f>
        <v>21631.215080894188</v>
      </c>
      <c r="X14" s="15">
        <f t="shared" si="8"/>
        <v>-201705.18879169627</v>
      </c>
      <c r="Y14" s="37">
        <f t="shared" si="10"/>
        <v>8.2484223447784277E-2</v>
      </c>
    </row>
    <row r="15" spans="1:27" x14ac:dyDescent="0.3">
      <c r="B15" s="14" t="s">
        <v>10</v>
      </c>
      <c r="C15" s="8">
        <v>3</v>
      </c>
      <c r="D15" s="13"/>
      <c r="F15" s="27" t="s">
        <v>71</v>
      </c>
      <c r="G15" s="33">
        <f>Calc!G12/Calc!G14*100</f>
        <v>-13.718967868914342</v>
      </c>
      <c r="K15">
        <v>11</v>
      </c>
      <c r="L15" s="3">
        <f t="shared" si="11"/>
        <v>814447.31338872085</v>
      </c>
      <c r="M15">
        <f>Calc!$C$14/100</f>
        <v>0.05</v>
      </c>
      <c r="N15" s="3">
        <f t="shared" si="9"/>
        <v>855169.67905815691</v>
      </c>
      <c r="O15" s="3">
        <f t="shared" si="12"/>
        <v>347649.89309335797</v>
      </c>
      <c r="P15" s="3">
        <f>O15*Calc!$C$8/100</f>
        <v>25204.617249268453</v>
      </c>
      <c r="Q15" s="3">
        <f>Q14*(1+Calc!$C$15/100)</f>
        <v>34039.117230941738</v>
      </c>
      <c r="R15" s="3">
        <f>Calc!$G$8-P15</f>
        <v>7539.8441934287584</v>
      </c>
      <c r="S15" s="3">
        <f t="shared" ref="S15:S24" si="13">O15-R15</f>
        <v>340110.04889992921</v>
      </c>
      <c r="T15" s="3">
        <f t="shared" ref="T15:T24" si="14">L15-O15</f>
        <v>466797.42029536288</v>
      </c>
      <c r="U15" s="3">
        <f t="shared" ref="U15:U24" si="15">N15-S15</f>
        <v>515059.63015822769</v>
      </c>
      <c r="V15" s="3">
        <f>Calc!$C$11-Q15-Calc!$G$8</f>
        <v>-25173.578673638949</v>
      </c>
      <c r="W15" s="9">
        <f t="shared" ref="W15:W24" si="16">(U15-T15)+V15</f>
        <v>23088.63118922586</v>
      </c>
      <c r="X15" s="15">
        <f t="shared" si="8"/>
        <v>-226878.76746533523</v>
      </c>
      <c r="Y15" s="37">
        <f t="shared" si="10"/>
        <v>8.2902720202393754E-2</v>
      </c>
    </row>
    <row r="16" spans="1:27" x14ac:dyDescent="0.3">
      <c r="B16" s="14" t="s">
        <v>41</v>
      </c>
      <c r="C16" s="8">
        <v>0.2</v>
      </c>
      <c r="D16" s="13"/>
      <c r="F16" s="27" t="s">
        <v>50</v>
      </c>
      <c r="G16" s="33">
        <f>G8/G3</f>
        <v>8.1861153606743023E-2</v>
      </c>
      <c r="K16">
        <v>12</v>
      </c>
      <c r="L16" s="3">
        <f t="shared" si="11"/>
        <v>855169.67905815691</v>
      </c>
      <c r="M16">
        <f>Calc!$C$14/100</f>
        <v>0.05</v>
      </c>
      <c r="N16" s="3">
        <f t="shared" si="9"/>
        <v>897928.16301106475</v>
      </c>
      <c r="O16" s="3">
        <f t="shared" si="12"/>
        <v>340110.04889992921</v>
      </c>
      <c r="P16" s="3">
        <f>O16*Calc!$C$8/100</f>
        <v>24657.978545244867</v>
      </c>
      <c r="Q16" s="3">
        <f>Q15*(1+Calc!$C$15/100)</f>
        <v>35060.290747869993</v>
      </c>
      <c r="R16" s="3">
        <f>Calc!$G$8-P16</f>
        <v>8086.4828974523443</v>
      </c>
      <c r="S16" s="3">
        <f t="shared" si="13"/>
        <v>332023.56600247684</v>
      </c>
      <c r="T16" s="3">
        <f t="shared" si="14"/>
        <v>515059.63015822769</v>
      </c>
      <c r="U16" s="3">
        <f t="shared" si="15"/>
        <v>565904.59700858791</v>
      </c>
      <c r="V16" s="3">
        <f>Calc!$C$11-Q16-Calc!$G$8</f>
        <v>-26194.752190567204</v>
      </c>
      <c r="W16" s="9">
        <f t="shared" si="16"/>
        <v>24650.214659793011</v>
      </c>
      <c r="X16" s="15">
        <f t="shared" si="8"/>
        <v>-253073.51965590243</v>
      </c>
      <c r="Y16" s="37">
        <f t="shared" si="10"/>
        <v>8.3122024592173549E-2</v>
      </c>
    </row>
    <row r="17" spans="1:25" x14ac:dyDescent="0.3">
      <c r="B17" s="14" t="s">
        <v>47</v>
      </c>
      <c r="C17" s="8">
        <v>0.03</v>
      </c>
      <c r="D17" s="13"/>
      <c r="F17" s="27" t="s">
        <v>51</v>
      </c>
      <c r="G17" s="28">
        <f>G9/G16</f>
        <v>198894.09423933225</v>
      </c>
      <c r="K17">
        <v>13</v>
      </c>
      <c r="L17" s="3">
        <f t="shared" si="11"/>
        <v>897928.16301106475</v>
      </c>
      <c r="M17">
        <f>Calc!$C$14/100</f>
        <v>0.05</v>
      </c>
      <c r="N17" s="3">
        <f t="shared" si="9"/>
        <v>942824.57116161799</v>
      </c>
      <c r="O17" s="3">
        <f t="shared" si="12"/>
        <v>332023.56600247684</v>
      </c>
      <c r="P17" s="3">
        <f>O17*Calc!$C$8/100</f>
        <v>24071.708535179569</v>
      </c>
      <c r="Q17" s="3">
        <f>Q16*(1+Calc!$C$15/100)</f>
        <v>36112.099470306093</v>
      </c>
      <c r="R17" s="3">
        <f>Calc!$G$8-P17</f>
        <v>8672.7529075176426</v>
      </c>
      <c r="S17" s="3">
        <f t="shared" si="13"/>
        <v>323350.81309495919</v>
      </c>
      <c r="T17" s="3">
        <f t="shared" si="14"/>
        <v>565904.59700858791</v>
      </c>
      <c r="U17" s="3">
        <f t="shared" si="15"/>
        <v>619473.75806665886</v>
      </c>
      <c r="V17" s="3">
        <f>Calc!$C$11-Q17-Calc!$G$8</f>
        <v>-27246.560913003304</v>
      </c>
      <c r="W17" s="9">
        <f t="shared" si="16"/>
        <v>26322.600145067649</v>
      </c>
      <c r="X17" s="15">
        <f t="shared" si="8"/>
        <v>-280320.08056890575</v>
      </c>
      <c r="Y17" s="37">
        <f t="shared" si="10"/>
        <v>8.3200540478852503E-2</v>
      </c>
    </row>
    <row r="18" spans="1:25" x14ac:dyDescent="0.3">
      <c r="B18" s="16"/>
      <c r="D18" s="13"/>
      <c r="F18" s="27" t="s">
        <v>21</v>
      </c>
      <c r="G18" s="28">
        <f>1-(G17/G3)</f>
        <v>0.5027647644016694</v>
      </c>
      <c r="K18">
        <v>14</v>
      </c>
      <c r="L18" s="3">
        <f t="shared" si="11"/>
        <v>942824.57116161799</v>
      </c>
      <c r="M18">
        <f>Calc!$C$14/100</f>
        <v>0.05</v>
      </c>
      <c r="N18" s="3">
        <f t="shared" si="9"/>
        <v>989965.79971969896</v>
      </c>
      <c r="O18" s="3">
        <f t="shared" si="12"/>
        <v>323350.81309495919</v>
      </c>
      <c r="P18" s="3">
        <f>O18*Calc!$C$8/100</f>
        <v>23442.93394938454</v>
      </c>
      <c r="Q18" s="3">
        <f>Q17*(1+Calc!$C$15/100)</f>
        <v>37195.462454415276</v>
      </c>
      <c r="R18" s="3">
        <f>Calc!$G$8-P18</f>
        <v>9301.5274933126711</v>
      </c>
      <c r="S18" s="3">
        <f t="shared" si="13"/>
        <v>314049.28560164652</v>
      </c>
      <c r="T18" s="3">
        <f t="shared" si="14"/>
        <v>619473.75806665886</v>
      </c>
      <c r="U18" s="3">
        <f t="shared" si="15"/>
        <v>675916.51411805244</v>
      </c>
      <c r="V18" s="3">
        <f>Calc!$C$11-Q18-Calc!$G$8</f>
        <v>-28329.923897112487</v>
      </c>
      <c r="W18" s="9">
        <f t="shared" si="16"/>
        <v>28112.832154281088</v>
      </c>
      <c r="X18" s="15">
        <f t="shared" si="8"/>
        <v>-308650.00446601823</v>
      </c>
      <c r="Y18" s="37">
        <f t="shared" si="10"/>
        <v>8.3178436921589771E-2</v>
      </c>
    </row>
    <row r="19" spans="1:25" ht="15" thickBot="1" x14ac:dyDescent="0.35">
      <c r="A19" s="11" t="s">
        <v>54</v>
      </c>
      <c r="B19" s="51" t="s">
        <v>5</v>
      </c>
      <c r="C19" s="52"/>
      <c r="D19" s="53"/>
      <c r="F19" s="43" t="s">
        <v>67</v>
      </c>
      <c r="G19" s="46">
        <f>C28/C10</f>
        <v>0.60870704157654409</v>
      </c>
      <c r="I19" t="s">
        <v>68</v>
      </c>
      <c r="K19">
        <v>15</v>
      </c>
      <c r="L19" s="3">
        <f t="shared" si="11"/>
        <v>989965.79971969896</v>
      </c>
      <c r="M19">
        <f>Calc!$C$14/100</f>
        <v>0.05</v>
      </c>
      <c r="N19" s="3">
        <f t="shared" si="9"/>
        <v>1039464.089705684</v>
      </c>
      <c r="O19" s="3">
        <f t="shared" si="12"/>
        <v>314049.28560164652</v>
      </c>
      <c r="P19" s="3">
        <f>O19*Calc!$C$8/100</f>
        <v>22768.573206119374</v>
      </c>
      <c r="Q19" s="3">
        <f>Q18*(1+Calc!$C$15/100)</f>
        <v>38311.326328047733</v>
      </c>
      <c r="R19" s="3">
        <f>Calc!$G$8-P19</f>
        <v>9975.8882365778372</v>
      </c>
      <c r="S19" s="3">
        <f t="shared" si="13"/>
        <v>304073.39736506867</v>
      </c>
      <c r="T19" s="3">
        <f t="shared" si="14"/>
        <v>675916.51411805244</v>
      </c>
      <c r="U19" s="3">
        <f t="shared" si="15"/>
        <v>735390.69234061532</v>
      </c>
      <c r="V19" s="3">
        <f>Calc!$C$11-Q19-Calc!$G$8</f>
        <v>-29445.787770744944</v>
      </c>
      <c r="W19" s="9">
        <f t="shared" si="16"/>
        <v>30028.390451817941</v>
      </c>
      <c r="X19" s="15">
        <f t="shared" si="8"/>
        <v>-338095.79223676317</v>
      </c>
      <c r="Y19" s="37">
        <f t="shared" si="10"/>
        <v>8.3083940322168592E-2</v>
      </c>
    </row>
    <row r="20" spans="1:25" x14ac:dyDescent="0.3">
      <c r="B20" s="17" t="s">
        <v>34</v>
      </c>
      <c r="C20" s="18" t="s">
        <v>35</v>
      </c>
      <c r="D20" s="19" t="s">
        <v>36</v>
      </c>
      <c r="K20">
        <v>16</v>
      </c>
      <c r="L20" s="3">
        <f t="shared" si="11"/>
        <v>1039464.089705684</v>
      </c>
      <c r="M20">
        <f>Calc!$C$14/100</f>
        <v>0.05</v>
      </c>
      <c r="N20" s="3">
        <f t="shared" si="9"/>
        <v>1091437.2941909682</v>
      </c>
      <c r="O20" s="3">
        <f t="shared" si="12"/>
        <v>304073.39736506867</v>
      </c>
      <c r="P20" s="3">
        <f>O20*Calc!$C$8/100</f>
        <v>22045.321308967479</v>
      </c>
      <c r="Q20" s="3">
        <f>Q19*(1+Calc!$C$15/100)</f>
        <v>39460.666117889166</v>
      </c>
      <c r="R20" s="3">
        <f>Calc!$G$8-P20</f>
        <v>10699.140133729732</v>
      </c>
      <c r="S20" s="3">
        <f t="shared" si="13"/>
        <v>293374.25723133894</v>
      </c>
      <c r="T20" s="3">
        <f t="shared" si="14"/>
        <v>735390.69234061532</v>
      </c>
      <c r="U20" s="3">
        <f t="shared" si="15"/>
        <v>798063.03695962927</v>
      </c>
      <c r="V20" s="3">
        <f>Calc!$C$11-Q20-Calc!$G$8</f>
        <v>-30595.127560586378</v>
      </c>
      <c r="W20" s="9">
        <f t="shared" si="16"/>
        <v>32077.217058427574</v>
      </c>
      <c r="X20" s="15">
        <f t="shared" si="8"/>
        <v>-368690.91979734955</v>
      </c>
      <c r="Y20" s="37">
        <f t="shared" si="10"/>
        <v>8.2937236407402359E-2</v>
      </c>
    </row>
    <row r="21" spans="1:25" x14ac:dyDescent="0.3">
      <c r="B21" s="16" t="s">
        <v>37</v>
      </c>
      <c r="C21" s="2">
        <v>1958</v>
      </c>
      <c r="D21" s="20">
        <f t="shared" ref="D21:D27" si="17">C21/12</f>
        <v>163.16666666666666</v>
      </c>
      <c r="K21">
        <v>17</v>
      </c>
      <c r="L21" s="3">
        <f t="shared" si="11"/>
        <v>1091437.2941909682</v>
      </c>
      <c r="M21">
        <f>Calc!$C$14/100</f>
        <v>0.05</v>
      </c>
      <c r="N21" s="3">
        <f t="shared" si="9"/>
        <v>1146009.1589005166</v>
      </c>
      <c r="O21" s="3">
        <f t="shared" si="12"/>
        <v>293374.25723133894</v>
      </c>
      <c r="P21" s="3">
        <f>O21*Calc!$C$8/100</f>
        <v>21269.633649272073</v>
      </c>
      <c r="Q21" s="3">
        <f>Q20*(1+Calc!$C$15/100)</f>
        <v>40644.486101425842</v>
      </c>
      <c r="R21" s="3">
        <f>Calc!$G$8-P21</f>
        <v>11474.827793425138</v>
      </c>
      <c r="S21" s="3">
        <f t="shared" si="13"/>
        <v>281899.42943791382</v>
      </c>
      <c r="T21" s="3">
        <f t="shared" si="14"/>
        <v>798063.03695962927</v>
      </c>
      <c r="U21" s="3">
        <f t="shared" si="15"/>
        <v>864109.72946260276</v>
      </c>
      <c r="V21" s="3">
        <f>Calc!$C$11-Q21-Calc!$G$8</f>
        <v>-31778.947544123053</v>
      </c>
      <c r="W21" s="9">
        <f t="shared" si="16"/>
        <v>34267.744958850431</v>
      </c>
      <c r="X21" s="15">
        <f t="shared" si="8"/>
        <v>-400469.86734147259</v>
      </c>
      <c r="Y21" s="37">
        <f t="shared" si="10"/>
        <v>8.2752969919861918E-2</v>
      </c>
    </row>
    <row r="22" spans="1:25" x14ac:dyDescent="0.3">
      <c r="B22" s="16" t="s">
        <v>38</v>
      </c>
      <c r="C22" s="2">
        <v>7000</v>
      </c>
      <c r="D22" s="20">
        <f t="shared" si="17"/>
        <v>583.33333333333337</v>
      </c>
      <c r="K22">
        <v>18</v>
      </c>
      <c r="L22" s="3">
        <f t="shared" si="11"/>
        <v>1146009.1589005166</v>
      </c>
      <c r="M22">
        <f>Calc!$C$14/100</f>
        <v>0.05</v>
      </c>
      <c r="N22" s="3">
        <f t="shared" si="9"/>
        <v>1203309.6168455426</v>
      </c>
      <c r="O22" s="3">
        <f t="shared" si="12"/>
        <v>281899.42943791382</v>
      </c>
      <c r="P22" s="3">
        <f>O22*Calc!$C$8/100</f>
        <v>20437.708634248749</v>
      </c>
      <c r="Q22" s="3">
        <f>Q21*(1+Calc!$C$15/100)</f>
        <v>41863.820684468621</v>
      </c>
      <c r="R22" s="3">
        <f>Calc!$G$8-P22</f>
        <v>12306.752808448462</v>
      </c>
      <c r="S22" s="3">
        <f t="shared" si="13"/>
        <v>269592.67662946536</v>
      </c>
      <c r="T22" s="3">
        <f t="shared" si="14"/>
        <v>864109.72946260276</v>
      </c>
      <c r="U22" s="3">
        <f t="shared" si="15"/>
        <v>933716.94021607726</v>
      </c>
      <c r="V22" s="3">
        <f>Calc!$C$11-Q22-Calc!$G$8</f>
        <v>-32998.282127165832</v>
      </c>
      <c r="W22" s="9">
        <f t="shared" si="16"/>
        <v>36608.928626308669</v>
      </c>
      <c r="X22" s="15">
        <f t="shared" si="8"/>
        <v>-433468.14946863841</v>
      </c>
      <c r="Y22" s="37">
        <f t="shared" si="10"/>
        <v>8.2541890991478128E-2</v>
      </c>
    </row>
    <row r="23" spans="1:25" x14ac:dyDescent="0.3">
      <c r="B23" s="16" t="s">
        <v>39</v>
      </c>
      <c r="C23" s="2">
        <v>3800</v>
      </c>
      <c r="D23" s="20">
        <f t="shared" si="17"/>
        <v>316.66666666666669</v>
      </c>
      <c r="K23">
        <v>19</v>
      </c>
      <c r="L23" s="3">
        <f t="shared" si="11"/>
        <v>1203309.6168455426</v>
      </c>
      <c r="M23">
        <f>Calc!$C$14/100</f>
        <v>0.05</v>
      </c>
      <c r="N23" s="3">
        <f t="shared" si="9"/>
        <v>1263475.0976878197</v>
      </c>
      <c r="O23" s="3">
        <f t="shared" si="12"/>
        <v>269592.67662946536</v>
      </c>
      <c r="P23" s="3">
        <f>O23*Calc!$C$8/100</f>
        <v>19545.46905563624</v>
      </c>
      <c r="Q23" s="3">
        <f>Q22*(1+Calc!$C$15/100)</f>
        <v>43119.73530500268</v>
      </c>
      <c r="R23" s="3">
        <f>Calc!$G$8-P23</f>
        <v>13198.992387060971</v>
      </c>
      <c r="S23" s="3">
        <f t="shared" si="13"/>
        <v>256393.68424240439</v>
      </c>
      <c r="T23" s="3">
        <f t="shared" si="14"/>
        <v>933716.94021607726</v>
      </c>
      <c r="U23" s="3">
        <f t="shared" si="15"/>
        <v>1007081.4134454153</v>
      </c>
      <c r="V23" s="3">
        <f>Calc!$C$11-Q23-Calc!$G$8</f>
        <v>-34254.196747699891</v>
      </c>
      <c r="W23" s="9">
        <f t="shared" si="16"/>
        <v>39110.276481638175</v>
      </c>
      <c r="X23" s="15">
        <f t="shared" si="8"/>
        <v>-467722.34621633828</v>
      </c>
      <c r="Y23" s="37">
        <f t="shared" si="10"/>
        <v>8.2311965703724566E-2</v>
      </c>
    </row>
    <row r="24" spans="1:25" x14ac:dyDescent="0.3">
      <c r="B24" s="16" t="s">
        <v>40</v>
      </c>
      <c r="C24" s="2">
        <v>3000</v>
      </c>
      <c r="D24" s="20">
        <f t="shared" si="17"/>
        <v>250</v>
      </c>
      <c r="K24">
        <v>20</v>
      </c>
      <c r="L24" s="3">
        <f t="shared" si="11"/>
        <v>1263475.0976878197</v>
      </c>
      <c r="M24">
        <f>Calc!$C$14/100</f>
        <v>0.05</v>
      </c>
      <c r="N24" s="3">
        <f t="shared" si="9"/>
        <v>1326648.8525722108</v>
      </c>
      <c r="O24" s="3">
        <f t="shared" si="12"/>
        <v>256393.68424240439</v>
      </c>
      <c r="P24" s="3">
        <f>O24*Calc!$C$8/100</f>
        <v>18588.542107574318</v>
      </c>
      <c r="Q24" s="3">
        <f>Q23*(1+Calc!$C$15/100)</f>
        <v>44413.327364152763</v>
      </c>
      <c r="R24" s="3">
        <f>Calc!$G$8-P24</f>
        <v>14155.919335122893</v>
      </c>
      <c r="S24" s="3">
        <f t="shared" si="13"/>
        <v>242237.7649072815</v>
      </c>
      <c r="T24" s="3">
        <f t="shared" si="14"/>
        <v>1007081.4134454153</v>
      </c>
      <c r="U24" s="3">
        <f t="shared" si="15"/>
        <v>1084411.0876649292</v>
      </c>
      <c r="V24" s="3">
        <f>Calc!$C$11-Q24-Calc!$G$8</f>
        <v>-35547.788806849974</v>
      </c>
      <c r="W24" s="9">
        <f t="shared" si="16"/>
        <v>41781.88541266392</v>
      </c>
      <c r="X24" s="15">
        <f t="shared" si="8"/>
        <v>-503270.13502318825</v>
      </c>
      <c r="Y24" s="37">
        <f t="shared" si="10"/>
        <v>8.2069140909398985E-2</v>
      </c>
    </row>
    <row r="25" spans="1:25" x14ac:dyDescent="0.3">
      <c r="B25" s="16" t="s">
        <v>41</v>
      </c>
      <c r="C25" s="4">
        <f>C10*C16</f>
        <v>8322</v>
      </c>
      <c r="D25" s="20">
        <f t="shared" si="17"/>
        <v>693.5</v>
      </c>
      <c r="K25">
        <v>21</v>
      </c>
      <c r="L25" s="3">
        <f t="shared" ref="L25:L34" si="18">N24</f>
        <v>1326648.8525722108</v>
      </c>
      <c r="M25">
        <f>Calc!$C$14/100</f>
        <v>0.05</v>
      </c>
      <c r="N25" s="3">
        <f t="shared" ref="N25:N34" si="19">L25*(1+M25)</f>
        <v>1392981.2952008215</v>
      </c>
      <c r="O25" s="3">
        <f t="shared" ref="O25:O34" si="20">S24</f>
        <v>242237.7649072815</v>
      </c>
      <c r="P25" s="3">
        <f>O25*Calc!$C$8/100</f>
        <v>17562.23795577791</v>
      </c>
      <c r="Q25" s="3">
        <f>Q24*(1+Calc!$C$15/100)</f>
        <v>45745.727185077347</v>
      </c>
      <c r="R25" s="3">
        <f>Calc!$G$8-P25</f>
        <v>15182.223486919302</v>
      </c>
      <c r="S25" s="3">
        <f t="shared" ref="S25:S34" si="21">O25-R25</f>
        <v>227055.54142036219</v>
      </c>
      <c r="T25" s="3">
        <f t="shared" ref="T25:T34" si="22">L25-O25</f>
        <v>1084411.0876649292</v>
      </c>
      <c r="U25" s="3">
        <f t="shared" ref="U25:U34" si="23">N25-S25</f>
        <v>1165925.7537804593</v>
      </c>
      <c r="V25" s="3">
        <f>Calc!$C$11-Q25-Calc!$G$8</f>
        <v>-36880.188627774558</v>
      </c>
      <c r="W25" s="9">
        <f t="shared" ref="W25:W34" si="24">(U25-T25)+V25</f>
        <v>44634.47748775551</v>
      </c>
      <c r="X25" s="15">
        <f t="shared" si="8"/>
        <v>-540150.32365096279</v>
      </c>
      <c r="Y25" s="37">
        <f t="shared" si="10"/>
        <v>8.1817880580416613E-2</v>
      </c>
    </row>
    <row r="26" spans="1:25" x14ac:dyDescent="0.3">
      <c r="B26" s="16" t="s">
        <v>42</v>
      </c>
      <c r="C26" s="2">
        <v>0</v>
      </c>
      <c r="D26" s="20">
        <f t="shared" si="17"/>
        <v>0</v>
      </c>
      <c r="K26">
        <v>22</v>
      </c>
      <c r="L26" s="3">
        <f t="shared" si="18"/>
        <v>1392981.2952008215</v>
      </c>
      <c r="M26">
        <f>Calc!$C$14/100</f>
        <v>0.05</v>
      </c>
      <c r="N26" s="3">
        <f t="shared" si="19"/>
        <v>1462630.3599608627</v>
      </c>
      <c r="O26" s="3">
        <f t="shared" si="20"/>
        <v>227055.54142036219</v>
      </c>
      <c r="P26" s="3">
        <f>O26*Calc!$C$8/100</f>
        <v>16461.526752976257</v>
      </c>
      <c r="Q26" s="3">
        <f>Q25*(1+Calc!$C$15/100)</f>
        <v>47118.099000629671</v>
      </c>
      <c r="R26" s="3">
        <f>Calc!$G$8-P26</f>
        <v>16282.934689720954</v>
      </c>
      <c r="S26" s="3">
        <f t="shared" si="21"/>
        <v>210772.60673064124</v>
      </c>
      <c r="T26" s="3">
        <f t="shared" si="22"/>
        <v>1165925.7537804593</v>
      </c>
      <c r="U26" s="3">
        <f t="shared" si="23"/>
        <v>1251857.7532302213</v>
      </c>
      <c r="V26" s="3">
        <f>Calc!$C$11-Q26-Calc!$G$8</f>
        <v>-38252.560443326882</v>
      </c>
      <c r="W26" s="9">
        <f t="shared" si="24"/>
        <v>47679.439006435168</v>
      </c>
      <c r="X26" s="15">
        <f t="shared" si="8"/>
        <v>-578402.88409428962</v>
      </c>
      <c r="Y26" s="37">
        <f t="shared" si="10"/>
        <v>8.156154796625259E-2</v>
      </c>
    </row>
    <row r="27" spans="1:25" x14ac:dyDescent="0.3">
      <c r="B27" s="16" t="s">
        <v>43</v>
      </c>
      <c r="C27" s="4">
        <f>C17*C10</f>
        <v>1248.3</v>
      </c>
      <c r="D27" s="20">
        <f t="shared" si="17"/>
        <v>104.02499999999999</v>
      </c>
      <c r="K27">
        <v>23</v>
      </c>
      <c r="L27" s="3">
        <f t="shared" si="18"/>
        <v>1462630.3599608627</v>
      </c>
      <c r="M27">
        <f>Calc!$C$14/100</f>
        <v>0.05</v>
      </c>
      <c r="N27" s="3">
        <f t="shared" si="19"/>
        <v>1535761.8779589059</v>
      </c>
      <c r="O27" s="3">
        <f t="shared" si="20"/>
        <v>210772.60673064124</v>
      </c>
      <c r="P27" s="3">
        <f>O27*Calc!$C$8/100</f>
        <v>15281.013987971492</v>
      </c>
      <c r="Q27" s="3">
        <f>Q26*(1+Calc!$C$15/100)</f>
        <v>48531.641970648561</v>
      </c>
      <c r="R27" s="3">
        <f>Calc!$G$8-P27</f>
        <v>17463.44745472572</v>
      </c>
      <c r="S27" s="3">
        <f t="shared" si="21"/>
        <v>193309.15927591553</v>
      </c>
      <c r="T27" s="3">
        <f t="shared" si="22"/>
        <v>1251857.7532302213</v>
      </c>
      <c r="U27" s="3">
        <f t="shared" si="23"/>
        <v>1342452.7186829904</v>
      </c>
      <c r="V27" s="3">
        <f>Calc!$C$11-Q27-Calc!$G$8</f>
        <v>-39666.103413345772</v>
      </c>
      <c r="W27" s="9">
        <f t="shared" si="24"/>
        <v>50928.8620394233</v>
      </c>
      <c r="X27" s="15">
        <f t="shared" si="8"/>
        <v>-618068.98750763538</v>
      </c>
      <c r="Y27" s="37">
        <f t="shared" si="10"/>
        <v>8.1302681737125626E-2</v>
      </c>
    </row>
    <row r="28" spans="1:25" x14ac:dyDescent="0.3">
      <c r="B28" s="21" t="s">
        <v>44</v>
      </c>
      <c r="C28" s="22">
        <f>SUM(C21:C27)</f>
        <v>25328.3</v>
      </c>
      <c r="D28" s="23">
        <f>SUM(D21:D27)</f>
        <v>2110.6916666666666</v>
      </c>
      <c r="K28">
        <v>24</v>
      </c>
      <c r="L28" s="3">
        <f t="shared" si="18"/>
        <v>1535761.8779589059</v>
      </c>
      <c r="M28">
        <f>Calc!$C$14/100</f>
        <v>0.05</v>
      </c>
      <c r="N28" s="3">
        <f t="shared" si="19"/>
        <v>1612549.9718568511</v>
      </c>
      <c r="O28" s="3">
        <f t="shared" si="20"/>
        <v>193309.15927591553</v>
      </c>
      <c r="P28" s="3">
        <f>O28*Calc!$C$8/100</f>
        <v>14014.914047503877</v>
      </c>
      <c r="Q28" s="3">
        <f>Q27*(1+Calc!$C$15/100)</f>
        <v>49987.591229768019</v>
      </c>
      <c r="R28" s="3">
        <f>Calc!$G$8-P28</f>
        <v>18729.547395193335</v>
      </c>
      <c r="S28" s="3">
        <f t="shared" si="21"/>
        <v>174579.61188072219</v>
      </c>
      <c r="T28" s="3">
        <f t="shared" si="22"/>
        <v>1342452.7186829904</v>
      </c>
      <c r="U28" s="3">
        <f t="shared" si="23"/>
        <v>1437970.3599761289</v>
      </c>
      <c r="V28" s="3">
        <f>Calc!$C$11-Q28-Calc!$G$8</f>
        <v>-41122.05267246523</v>
      </c>
      <c r="W28" s="9">
        <f t="shared" si="24"/>
        <v>54395.588620673268</v>
      </c>
      <c r="X28" s="15">
        <f t="shared" si="8"/>
        <v>-659191.04018010059</v>
      </c>
      <c r="Y28" s="37">
        <f t="shared" si="10"/>
        <v>8.1043198013136974E-2</v>
      </c>
    </row>
    <row r="29" spans="1:25" x14ac:dyDescent="0.3">
      <c r="B29" s="16"/>
      <c r="D29" s="13"/>
      <c r="K29">
        <v>25</v>
      </c>
      <c r="L29" s="3">
        <f t="shared" si="18"/>
        <v>1612549.9718568511</v>
      </c>
      <c r="M29">
        <f>Calc!$C$14/100</f>
        <v>0.05</v>
      </c>
      <c r="N29" s="3">
        <f t="shared" si="19"/>
        <v>1693177.4704496937</v>
      </c>
      <c r="O29" s="3">
        <f t="shared" si="20"/>
        <v>174579.61188072219</v>
      </c>
      <c r="P29" s="3">
        <f>O29*Calc!$C$8/100</f>
        <v>12657.021861352359</v>
      </c>
      <c r="Q29" s="3">
        <f>Q28*(1+Calc!$C$15/100)</f>
        <v>51487.218966661057</v>
      </c>
      <c r="R29" s="3">
        <f>Calc!$G$8-P29</f>
        <v>20087.43958134485</v>
      </c>
      <c r="S29" s="3">
        <f t="shared" si="21"/>
        <v>154492.17229937733</v>
      </c>
      <c r="T29" s="3">
        <f t="shared" si="22"/>
        <v>1437970.3599761289</v>
      </c>
      <c r="U29" s="3">
        <f t="shared" si="23"/>
        <v>1538685.2981503163</v>
      </c>
      <c r="V29" s="3">
        <f>Calc!$C$11-Q29-Calc!$G$8</f>
        <v>-42621.680409358269</v>
      </c>
      <c r="W29" s="9">
        <f t="shared" si="24"/>
        <v>58093.25776482917</v>
      </c>
      <c r="X29" s="15">
        <f t="shared" si="8"/>
        <v>-701812.72058945883</v>
      </c>
      <c r="Y29" s="37">
        <f t="shared" si="10"/>
        <v>8.0784539804298783E-2</v>
      </c>
    </row>
    <row r="30" spans="1:25" x14ac:dyDescent="0.3">
      <c r="A30" s="11" t="s">
        <v>54</v>
      </c>
      <c r="B30" s="51" t="s">
        <v>45</v>
      </c>
      <c r="C30" s="52"/>
      <c r="D30" s="53"/>
      <c r="K30">
        <v>26</v>
      </c>
      <c r="L30" s="3">
        <f t="shared" si="18"/>
        <v>1693177.4704496937</v>
      </c>
      <c r="M30">
        <f>Calc!$C$14/100</f>
        <v>0.05</v>
      </c>
      <c r="N30" s="3">
        <f t="shared" si="19"/>
        <v>1777836.3439721784</v>
      </c>
      <c r="O30" s="3">
        <f t="shared" si="20"/>
        <v>154492.17229937733</v>
      </c>
      <c r="P30" s="3">
        <f>O30*Calc!$C$8/100</f>
        <v>11200.682491704856</v>
      </c>
      <c r="Q30" s="3">
        <f>Q29*(1+Calc!$C$15/100)</f>
        <v>53031.835535660888</v>
      </c>
      <c r="R30" s="3">
        <f>Calc!$G$8-P30</f>
        <v>21543.778950992353</v>
      </c>
      <c r="S30" s="3">
        <f t="shared" si="21"/>
        <v>132948.39334838497</v>
      </c>
      <c r="T30" s="3">
        <f t="shared" si="22"/>
        <v>1538685.2981503163</v>
      </c>
      <c r="U30" s="3">
        <f t="shared" si="23"/>
        <v>1644887.9506237935</v>
      </c>
      <c r="V30" s="3">
        <f>Calc!$C$11-Q30-Calc!$G$8</f>
        <v>-44166.296978358099</v>
      </c>
      <c r="W30" s="9">
        <f t="shared" si="24"/>
        <v>62036.355495119082</v>
      </c>
      <c r="X30" s="15">
        <f t="shared" si="8"/>
        <v>-745979.01756781689</v>
      </c>
      <c r="Y30" s="37">
        <f t="shared" si="10"/>
        <v>8.0527788632517305E-2</v>
      </c>
    </row>
    <row r="31" spans="1:25" x14ac:dyDescent="0.3">
      <c r="B31" s="16" t="s">
        <v>46</v>
      </c>
      <c r="C31" s="7">
        <v>0.6</v>
      </c>
      <c r="D31" s="13"/>
      <c r="K31">
        <v>27</v>
      </c>
      <c r="L31" s="3">
        <f t="shared" si="18"/>
        <v>1777836.3439721784</v>
      </c>
      <c r="M31">
        <f>Calc!$C$14/100</f>
        <v>0.05</v>
      </c>
      <c r="N31" s="3">
        <f t="shared" si="19"/>
        <v>1866728.1611707874</v>
      </c>
      <c r="O31" s="3">
        <f t="shared" si="20"/>
        <v>132948.39334838497</v>
      </c>
      <c r="P31" s="3">
        <f>O31*Calc!$C$8/100</f>
        <v>9638.7585177579094</v>
      </c>
      <c r="Q31" s="3">
        <f>Q30*(1+Calc!$C$15/100)</f>
        <v>54622.790601730718</v>
      </c>
      <c r="R31" s="3">
        <f>Calc!$G$8-P31</f>
        <v>23105.702924939302</v>
      </c>
      <c r="S31" s="3">
        <f t="shared" si="21"/>
        <v>109842.69042344566</v>
      </c>
      <c r="T31" s="3">
        <f t="shared" si="22"/>
        <v>1644887.9506237935</v>
      </c>
      <c r="U31" s="3">
        <f t="shared" si="23"/>
        <v>1756885.4707473419</v>
      </c>
      <c r="V31" s="3">
        <f>Calc!$C$11-Q31-Calc!$G$8</f>
        <v>-45757.252044427929</v>
      </c>
      <c r="W31" s="9">
        <f t="shared" si="24"/>
        <v>66240.268079120404</v>
      </c>
      <c r="X31" s="15">
        <f t="shared" si="8"/>
        <v>-791736.2696122448</v>
      </c>
      <c r="Y31" s="37">
        <f t="shared" si="10"/>
        <v>8.0273748628017616E-2</v>
      </c>
    </row>
    <row r="32" spans="1:25" x14ac:dyDescent="0.3">
      <c r="B32" s="14" t="s">
        <v>8</v>
      </c>
      <c r="C32">
        <f>C31*365</f>
        <v>219</v>
      </c>
      <c r="D32" s="13"/>
      <c r="K32">
        <v>28</v>
      </c>
      <c r="L32" s="3">
        <f t="shared" si="18"/>
        <v>1866728.1611707874</v>
      </c>
      <c r="M32">
        <f>Calc!$C$14/100</f>
        <v>0.05</v>
      </c>
      <c r="N32" s="3">
        <f t="shared" si="19"/>
        <v>1960064.5692293269</v>
      </c>
      <c r="O32" s="3">
        <f t="shared" si="20"/>
        <v>109842.69042344566</v>
      </c>
      <c r="P32" s="3">
        <f>O32*Calc!$C$8/100</f>
        <v>7963.5950556998105</v>
      </c>
      <c r="Q32" s="3">
        <f>Q31*(1+Calc!$C$15/100)</f>
        <v>56261.474319782639</v>
      </c>
      <c r="R32" s="3">
        <f>Calc!$G$8-P32</f>
        <v>24780.866386997401</v>
      </c>
      <c r="S32" s="3">
        <f t="shared" si="21"/>
        <v>85061.824036448263</v>
      </c>
      <c r="T32" s="3">
        <f t="shared" si="22"/>
        <v>1756885.4707473419</v>
      </c>
      <c r="U32" s="3">
        <f t="shared" si="23"/>
        <v>1875002.7451928786</v>
      </c>
      <c r="V32" s="3">
        <f>Calc!$C$11-Q32-Calc!$G$8</f>
        <v>-47395.93576247985</v>
      </c>
      <c r="W32" s="9">
        <f t="shared" si="24"/>
        <v>70721.338683056936</v>
      </c>
      <c r="X32" s="15">
        <f t="shared" si="8"/>
        <v>-839132.2053747247</v>
      </c>
      <c r="Y32" s="37">
        <f t="shared" si="10"/>
        <v>8.0023010372271663E-2</v>
      </c>
    </row>
    <row r="33" spans="2:25" ht="15" thickBot="1" x14ac:dyDescent="0.35">
      <c r="B33" s="24" t="s">
        <v>9</v>
      </c>
      <c r="C33" s="25">
        <v>190</v>
      </c>
      <c r="D33" s="26"/>
      <c r="K33">
        <v>29</v>
      </c>
      <c r="L33" s="3">
        <f t="shared" si="18"/>
        <v>1960064.5692293269</v>
      </c>
      <c r="M33">
        <f>Calc!$C$14/100</f>
        <v>0.05</v>
      </c>
      <c r="N33" s="3">
        <f t="shared" si="19"/>
        <v>2058067.7976907934</v>
      </c>
      <c r="O33" s="3">
        <f t="shared" si="20"/>
        <v>85061.824036448263</v>
      </c>
      <c r="P33" s="3">
        <f>O33*Calc!$C$8/100</f>
        <v>6166.9822426424989</v>
      </c>
      <c r="Q33" s="3">
        <f>Q32*(1+Calc!$C$15/100)</f>
        <v>57949.318549376119</v>
      </c>
      <c r="R33" s="3">
        <f>Calc!$G$8-P33</f>
        <v>26577.479200054713</v>
      </c>
      <c r="S33" s="3">
        <f t="shared" si="21"/>
        <v>58484.344836393546</v>
      </c>
      <c r="T33" s="3">
        <f t="shared" si="22"/>
        <v>1875002.7451928786</v>
      </c>
      <c r="U33" s="3">
        <f t="shared" si="23"/>
        <v>1999583.4528543998</v>
      </c>
      <c r="V33" s="3">
        <f>Calc!$C$11-Q33-Calc!$G$8</f>
        <v>-49083.779992073331</v>
      </c>
      <c r="W33" s="9">
        <f t="shared" si="24"/>
        <v>75496.927669447818</v>
      </c>
      <c r="X33" s="15">
        <f t="shared" si="8"/>
        <v>-888215.98536679801</v>
      </c>
      <c r="Y33" s="37">
        <f t="shared" si="10"/>
        <v>7.9775999690839594E-2</v>
      </c>
    </row>
    <row r="34" spans="2:25" ht="15" thickBot="1" x14ac:dyDescent="0.35">
      <c r="K34">
        <v>30</v>
      </c>
      <c r="L34" s="3">
        <f t="shared" si="18"/>
        <v>2058067.7976907934</v>
      </c>
      <c r="M34">
        <f>Calc!$C$14/100</f>
        <v>0.05</v>
      </c>
      <c r="N34" s="3">
        <f t="shared" si="19"/>
        <v>2160971.1875753333</v>
      </c>
      <c r="O34" s="3">
        <f t="shared" si="20"/>
        <v>58484.344836393546</v>
      </c>
      <c r="P34" s="3">
        <f>O34*Calc!$C$8/100</f>
        <v>4240.1150006385324</v>
      </c>
      <c r="Q34" s="3">
        <f>Q33*(1+Calc!$C$15/100)</f>
        <v>59687.798105857408</v>
      </c>
      <c r="R34" s="3">
        <f>Calc!$G$8-P34</f>
        <v>28504.346442058679</v>
      </c>
      <c r="S34" s="3">
        <f t="shared" si="21"/>
        <v>29979.998394334867</v>
      </c>
      <c r="T34" s="3">
        <f t="shared" si="22"/>
        <v>1999583.4528543998</v>
      </c>
      <c r="U34" s="3">
        <f t="shared" si="23"/>
        <v>2130991.1891809986</v>
      </c>
      <c r="V34" s="3">
        <f>Calc!$C$11-Q34-Calc!$G$8</f>
        <v>-50822.259548554619</v>
      </c>
      <c r="W34" s="10">
        <f t="shared" si="24"/>
        <v>80585.476778044176</v>
      </c>
      <c r="X34" s="41">
        <f t="shared" si="8"/>
        <v>-939038.24491535267</v>
      </c>
      <c r="Y34" s="34">
        <f t="shared" si="10"/>
        <v>7.9533015162633225E-2</v>
      </c>
    </row>
  </sheetData>
  <mergeCells count="7">
    <mergeCell ref="K2:Y2"/>
    <mergeCell ref="F2:G2"/>
    <mergeCell ref="AA4:AA5"/>
    <mergeCell ref="B19:D19"/>
    <mergeCell ref="B30:D30"/>
    <mergeCell ref="I12:I13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Mielnik</dc:creator>
  <cp:lastModifiedBy>Alaska A</cp:lastModifiedBy>
  <dcterms:created xsi:type="dcterms:W3CDTF">2025-04-23T16:21:36Z</dcterms:created>
  <dcterms:modified xsi:type="dcterms:W3CDTF">2026-05-15T14:20:53Z</dcterms:modified>
</cp:coreProperties>
</file>